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<sst xmlns="http://schemas.openxmlformats.org/spreadsheetml/2006/main" count="145" uniqueCount="140">
  <si>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</si>
  <si>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</si>
  <si>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</si>
  <si>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</si>
  <si>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</si>
  <si>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</si>
  <si>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</si>
  <si>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</si>
  <si>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</si>
  <si>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</si>
  <si>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</si>
  <si>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</si>
  <si>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</si>
  <si>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</si>
  <si>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</si>
  <si>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</si>
  <si>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</si>
  <si>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</si>
  <si>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</si>
  <si>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</si>
  <si>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</si>
  <si>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</si>
  <si>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</si>
  <si>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</si>
  <si>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</si>
  <si>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</si>
  <si>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</si>
  <si>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</si>
  <si>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</si>
  <si>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</si>
  <si>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</si>
  <si>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</si>
  <si>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</si>
  <si>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</si>
  <si>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</si>
  <si>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</si>
  <si>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</si>
  <si>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</si>
  <si>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</si>
  <si>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</si>
  <si>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</si>
  <si>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</si>
  <si>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</si>
  <si>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</si>
  <si>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</si>
  <si>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</si>
  <si>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</si>
  <si>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</si>
  <si>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</si>
  <si>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</si>
  <si>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</si>
  <si>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</si>
  <si>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</si>
  <si>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</si>
  <si>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</si>
  <si>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</si>
  <si>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</si>
  <si>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</si>
  <si>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</si>
  <si>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</si>
  <si>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</si>
  <si>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</si>
  <si>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</si>
  <si>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</si>
  <si>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</si>
  <si>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</si>
  <si>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</si>
  <si>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</si>
  <si>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</si>
  <si>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</si>
  <si>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</si>
  <si>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</si>
  <si>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</si>
  <si>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</si>
  <si>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</si>
  <si>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</si>
  <si>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</si>
  <si>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</si>
  <si>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</si>
  <si>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</si>
  <si>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</si>
  <si>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</si>
  <si>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</si>
  <si>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</si>
  <si>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</si>
  <si>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</si>
  <si>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</si>
  <si>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</si>
  <si>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</si>
  <si>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</si>
  <si>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</si>
  <si>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</si>
  <si>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</si>
  <si>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</si>
  <si>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</si>
  <si>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</si>
  <si>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</si>
  <si>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</si>
  <si>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</si>
  <si>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</si>
  <si>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</si>
  <si>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</si>
  <si>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</si>
  <si>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</si>
  <si>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</si>
  <si>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</si>
  <si>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</si>
  <si>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</si>
  <si>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</si>
  <si>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</si>
  <si>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</si>
  <si>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</si>
  <si>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</si>
  <si>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</si>
  <si>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</si>
  <si>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</si>
  <si>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</si>
  <si>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</si>
  <si>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</si>
  <si>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</si>
  <si>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</si>
  <si>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</si>
  <si>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</si>
  <si>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</si>
  <si>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</si>
  <si>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</si>
  <si>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</si>
  <si>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</si>
  <si>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</si>
  <si>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</si>
  <si>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</si>
  <si>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</si>
  <si>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</si>
  <si>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</si>
  <si>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</si>
  <si>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</si>
  <si>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</si>
  <si>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Відсоток виконання до плану 10 місяців</t>
  </si>
  <si>
    <t>Залишок призначень до плану 10 місяців</t>
  </si>
  <si>
    <t>Касові видатки станом на 25.10.18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</si>
</sst>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32" fillId="0" borderId="13" xfId="112" applyFont="1" applyFill="1" applyBorder="1" applyAlignment="1">
      <alignment horizont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3" xfId="112" applyFont="1" applyBorder="1" applyAlignment="1">
      <alignment horizontal="center" wrapText="1"/>
      <protection/>
    </xf>
    <xf numFmtId="0" fontId="32" fillId="0" borderId="14" xfId="112" applyFont="1" applyBorder="1" applyAlignment="1">
      <alignment horizontal="center" wrapText="1"/>
      <protection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16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9" sqref="H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8" width="0" style="2" hidden="1" customWidth="1"/>
    <col min="29" max="16384" width="9.33203125" style="2" customWidth="1"/>
  </cols>
  <sheetData>
    <row r="1" spans="4:7" ht="74.25" customHeight="1" hidden="1">
      <c r="D1" s="101" t="s">
        <v>14</v>
      </c>
      <c r="E1" s="102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104" t="s">
        <v>16</v>
      </c>
      <c r="B3" s="104"/>
      <c r="C3" s="104"/>
      <c r="D3" s="104"/>
      <c r="E3" s="104"/>
      <c r="F3" s="104"/>
      <c r="G3" s="104"/>
      <c r="H3" s="104"/>
      <c r="I3" s="104"/>
    </row>
    <row r="4" spans="1:9" ht="20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103" t="s">
        <v>3</v>
      </c>
      <c r="B7" s="13"/>
      <c r="C7" s="103" t="s">
        <v>0</v>
      </c>
      <c r="D7" s="97" t="s">
        <v>1</v>
      </c>
      <c r="E7" s="97" t="s">
        <v>19</v>
      </c>
      <c r="F7" s="97" t="s">
        <v>112</v>
      </c>
      <c r="G7" s="14" t="s">
        <v>113</v>
      </c>
      <c r="H7" s="105" t="s">
        <v>139</v>
      </c>
      <c r="I7" s="89" t="s">
        <v>2</v>
      </c>
      <c r="J7" s="91" t="s">
        <v>137</v>
      </c>
    </row>
    <row r="8" spans="1:25" ht="39.75" customHeight="1">
      <c r="A8" s="103"/>
      <c r="B8" s="1" t="s">
        <v>20</v>
      </c>
      <c r="C8" s="103"/>
      <c r="D8" s="97"/>
      <c r="E8" s="97"/>
      <c r="F8" s="97"/>
      <c r="G8" s="52" t="s">
        <v>114</v>
      </c>
      <c r="H8" s="106"/>
      <c r="I8" s="90"/>
      <c r="J8" s="92"/>
      <c r="L8" s="95" t="s">
        <v>138</v>
      </c>
      <c r="M8" s="89" t="s">
        <v>26</v>
      </c>
      <c r="N8" s="91" t="s">
        <v>27</v>
      </c>
      <c r="O8" s="89" t="s">
        <v>28</v>
      </c>
      <c r="P8" s="89" t="s">
        <v>29</v>
      </c>
      <c r="Q8" s="89" t="s">
        <v>30</v>
      </c>
      <c r="R8" s="89" t="s">
        <v>31</v>
      </c>
      <c r="S8" s="89" t="s">
        <v>32</v>
      </c>
      <c r="T8" s="89" t="s">
        <v>33</v>
      </c>
      <c r="U8" s="89" t="s">
        <v>34</v>
      </c>
      <c r="V8" s="89" t="s">
        <v>35</v>
      </c>
      <c r="W8" s="89" t="s">
        <v>36</v>
      </c>
      <c r="X8" s="89" t="s">
        <v>37</v>
      </c>
      <c r="Y8" s="89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96"/>
      <c r="M9" s="90"/>
      <c r="N9" s="92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s="15" customFormat="1" ht="19.5" customHeight="1">
      <c r="A10" s="93" t="s">
        <v>6</v>
      </c>
      <c r="B10" s="94"/>
      <c r="C10" s="94"/>
      <c r="D10" s="94"/>
      <c r="E10" s="94"/>
      <c r="F10" s="94"/>
      <c r="G10" s="94"/>
      <c r="H10" s="94"/>
      <c r="I10" s="94"/>
      <c r="J10" s="94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83962695.91</v>
      </c>
      <c r="I11" s="38">
        <f aca="true" t="shared" si="0" ref="I11:I18">H11/D11*100</f>
        <v>43.54848157488486</v>
      </c>
      <c r="J11" s="38">
        <f>(H11/(M11+N11+O11+P11+Q11+R11+S11+V11+O29+P29+Q29+R29+S29+T11+T29+U11+U29+V29))*100</f>
        <v>86.49896975128004</v>
      </c>
      <c r="K11" s="40"/>
      <c r="L11" s="49">
        <f>M11+N11+O11+P11+Q11+R11+S11+T11+U11+V11-H12</f>
        <v>3843875.120000005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2949487.3900000006</v>
      </c>
      <c r="W11" s="46">
        <f t="shared" si="1"/>
        <v>2625878.4700000007</v>
      </c>
      <c r="X11" s="46">
        <f t="shared" si="1"/>
        <v>55689213.62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59749749.08</v>
      </c>
      <c r="I12" s="54">
        <f t="shared" si="0"/>
        <v>49.01187617944032</v>
      </c>
      <c r="J12" s="79">
        <f>(H12/(M11+N11+O11+P11+Q11+R11+S11+T11+U11+V11))*100</f>
        <v>93.95556524988868</v>
      </c>
      <c r="L12" s="45">
        <f>(M12+N12+O12+P12+Q12+R12+S12+T12+U12+V12)-(H13+H16+H17+H18)</f>
        <v>1842849.3500000015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</f>
        <v>160800</v>
      </c>
      <c r="W12" s="44">
        <f>936600+1500000-650000-1016222.96</f>
        <v>770377.04</v>
      </c>
      <c r="X12" s="44">
        <f>342435+900000-14000+6745527+14617000-1961276.97</f>
        <v>20629685.03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</f>
        <v>19563843.58</v>
      </c>
      <c r="I13" s="17">
        <f t="shared" si="0"/>
        <v>49.9772134374382</v>
      </c>
      <c r="J13" s="98">
        <f>((H13+H16+H17+H18)/(M12+N12+O12+P12+Q12+R12+S12+T12+U12+V12))*100</f>
        <v>93.50347641936648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99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99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31577.39+15917.61+121677.93+62675.88+102268.28+39092.55+52605.2+54734.36+188440.48+957995.29+82453.86+90143.4+306140.06+185523.83+118297.71+35911.15+980849.61+90100.36+66061.72</f>
        <v>3582466.67</v>
      </c>
      <c r="I16" s="17">
        <f t="shared" si="0"/>
        <v>59.76953969101405</v>
      </c>
      <c r="J16" s="99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375177+377002+518168.27+377588+377041+376903+377045+400325</f>
        <v>3179249.27</v>
      </c>
      <c r="I17" s="17">
        <f t="shared" si="0"/>
        <v>72.46259534329283</v>
      </c>
      <c r="J17" s="99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0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33225898.500000004</v>
      </c>
      <c r="I21" s="33">
        <f>H21/D21*100</f>
        <v>46.05627727582316</v>
      </c>
      <c r="J21" s="98">
        <f>(H21/(M21+N21+O21+P21+Q21+R21+S21+T21+U21+V21))*100</f>
        <v>94.31961259330237</v>
      </c>
      <c r="L21" s="50">
        <f>(M21+N21+O21+P21+Q21+R21+S21+T21+U21+V21)-H21</f>
        <v>2001025.769999992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4324354.15-2500000+1400000+257000-908000+215333.24</f>
        <v>2788687.3900000006</v>
      </c>
      <c r="W21" s="44">
        <f>3424354.15-1500000+3500000+544000-2835800-1263777.04-13275.68</f>
        <v>1855501.4300000004</v>
      </c>
      <c r="X21" s="44">
        <f>3124354.15-900000+3365442-2835810+34833600-2326000-202057.56</f>
        <v>35059528.589999996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+46904.96+5136</f>
        <v>12389725.650000002</v>
      </c>
      <c r="I22" s="21">
        <f aca="true" t="shared" si="5" ref="I22:I28">H22/D22*100</f>
        <v>48.99464596086254</v>
      </c>
      <c r="J22" s="99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3018.28+221000+2320.65+77508.36+435632.12+3420+260295.43+449818</f>
        <v>1453012.8399999999</v>
      </c>
      <c r="I23" s="21">
        <f t="shared" si="5"/>
        <v>66.72157103932132</v>
      </c>
      <c r="J23" s="99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2820.64+34500+52475.54+162250+142000+248550+354532.41+6450.14+17528.4</f>
        <v>1021107.1299999999</v>
      </c>
      <c r="I24" s="21">
        <f t="shared" si="5"/>
        <v>93.64076359855044</v>
      </c>
      <c r="J24" s="99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</f>
        <v>794044.0700000001</v>
      </c>
      <c r="I25" s="21">
        <f t="shared" si="5"/>
        <v>57.908292794916264</v>
      </c>
      <c r="J25" s="99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>
        <f t="shared" si="2"/>
        <v>0</v>
      </c>
      <c r="Z25" s="48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72895+67562+82967+104083+126739+197420+70879+108451+430425.6+192221+104308+1088465+84059.88+315095+357655</f>
        <v>3403225.48</v>
      </c>
      <c r="I26" s="21">
        <f t="shared" si="5"/>
        <v>68.93697499036034</v>
      </c>
      <c r="J26" s="99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</f>
        <v>482088.69</v>
      </c>
      <c r="I27" s="21">
        <f t="shared" si="5"/>
        <v>31.266652104189337</v>
      </c>
      <c r="J27" s="99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+1108065.31</f>
        <v>13682694.64</v>
      </c>
      <c r="I28" s="21">
        <f t="shared" si="5"/>
        <v>38.28819325572555</v>
      </c>
      <c r="J28" s="100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24212946.829999994</v>
      </c>
      <c r="I29" s="54">
        <f>H29/D29*100</f>
        <v>34.15368725585136</v>
      </c>
      <c r="J29" s="79">
        <f>(H29/(M29+N29+O29+P29+Q29+R29+S29+T29+U29+V29))*100</f>
        <v>72.33309056321573</v>
      </c>
      <c r="L29" s="50">
        <f>(M29+N29+O29+P29+Q29+R29+S29+T29+U29+V29)-H29</f>
        <v>9261285.560000006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4663839</v>
      </c>
      <c r="W29" s="73">
        <f t="shared" si="8"/>
        <v>5659953.37</v>
      </c>
      <c r="X29" s="73">
        <f t="shared" si="8"/>
        <v>31759907.310000002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(H30/(M30+N30+O30+P30+Q30+R30+S30+T30+U30+V30))*100</f>
        <v>35.333333333333336</v>
      </c>
      <c r="L30" s="45">
        <f>(M30+N30+O30+P30+Q30+R30+S30+T30+U30+V30)-H30</f>
        <v>97000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/>
      <c r="W30" s="70"/>
      <c r="X30" s="75">
        <f>959220</f>
        <v>959220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(H31/(M31+N31+O31+P31+Q31+R31+S31+T31+U31+V31))*100</f>
        <v>15.384615384615385</v>
      </c>
      <c r="L31" s="45">
        <f aca="true" t="shared" si="12" ref="L31:L85">(M31+N31+O31+P31+Q31+R31+S31+T31+U31+V31)-H31</f>
        <v>110000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/>
      <c r="W31" s="70"/>
      <c r="X31" s="75">
        <f>277256</f>
        <v>277256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0"/>
        <v>99.92228787305325</v>
      </c>
      <c r="J32" s="51">
        <f t="shared" si="11"/>
        <v>99.92228787305325</v>
      </c>
      <c r="L32" s="45">
        <f t="shared" si="12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>
        <f>2376</f>
        <v>2376</v>
      </c>
      <c r="I33" s="56">
        <f t="shared" si="10"/>
        <v>2.066086956521739</v>
      </c>
      <c r="J33" s="51">
        <f t="shared" si="11"/>
        <v>2.066086956521739</v>
      </c>
      <c r="L33" s="45">
        <f t="shared" si="12"/>
        <v>112624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119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81" t="e">
        <f t="shared" si="11"/>
        <v>#DIV/0!</v>
      </c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280316.47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70">
        <f>278000</f>
        <v>278000</v>
      </c>
      <c r="W38" s="70"/>
      <c r="X38" s="70">
        <f>50000</f>
        <v>50000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120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81" t="e">
        <f t="shared" si="11"/>
        <v>#DIV/0!</v>
      </c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>
        <f t="shared" si="11"/>
        <v>0</v>
      </c>
      <c r="L40" s="45">
        <f t="shared" si="12"/>
        <v>30000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11000+145000+41675.25+2324.75</f>
        <v>200000</v>
      </c>
      <c r="I41" s="17">
        <f t="shared" si="10"/>
        <v>79.54183900731785</v>
      </c>
      <c r="J41" s="51">
        <f t="shared" si="11"/>
        <v>100</v>
      </c>
      <c r="L41" s="45">
        <f t="shared" si="12"/>
        <v>0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36.5</v>
      </c>
      <c r="L42" s="45">
        <f t="shared" si="12"/>
        <v>127000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/>
      <c r="W42" s="70"/>
      <c r="X42" s="75">
        <f>1388602</f>
        <v>1388602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15000+115000+49952.02+2134</f>
        <v>182086.02</v>
      </c>
      <c r="I44" s="17">
        <f t="shared" si="10"/>
        <v>91.04301</v>
      </c>
      <c r="J44" s="51">
        <f t="shared" si="11"/>
        <v>91.04301</v>
      </c>
      <c r="L44" s="45">
        <f t="shared" si="12"/>
        <v>17913.98000000001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11.504424778761061</v>
      </c>
      <c r="L45" s="45">
        <f t="shared" si="12"/>
        <v>200000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v>200000</v>
      </c>
      <c r="W45" s="70">
        <f>198000</f>
        <v>198000</v>
      </c>
      <c r="X45" s="70"/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8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51">
        <f t="shared" si="11"/>
        <v>0</v>
      </c>
      <c r="L47" s="45">
        <f t="shared" si="12"/>
        <v>262000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</f>
        <v>262000</v>
      </c>
      <c r="W47" s="70"/>
      <c r="X47" s="70"/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91538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/>
      <c r="W48" s="70"/>
      <c r="X48" s="70"/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100</v>
      </c>
      <c r="L50" s="45">
        <f t="shared" si="12"/>
        <v>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0"/>
        <v>69.17074359440144</v>
      </c>
      <c r="J55" s="51">
        <f t="shared" si="11"/>
        <v>100</v>
      </c>
      <c r="L55" s="45">
        <f t="shared" si="12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>
        <f t="shared" si="11"/>
        <v>0</v>
      </c>
      <c r="L57" s="45">
        <f t="shared" si="12"/>
        <v>300000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</f>
        <v>300000</v>
      </c>
      <c r="W57" s="70">
        <f>300000</f>
        <v>300000</v>
      </c>
      <c r="X57" s="70"/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8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121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/>
      <c r="I59" s="39"/>
      <c r="J59" s="81" t="e">
        <f t="shared" si="11"/>
        <v>#DIV/0!</v>
      </c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/>
      <c r="W59" s="70"/>
      <c r="X59" s="75">
        <f>1455677.6</f>
        <v>1455677.6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76.45925069637883</v>
      </c>
      <c r="L61" s="45">
        <f t="shared" si="12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784000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</f>
        <v>523500</v>
      </c>
      <c r="W63" s="70"/>
      <c r="X63" s="70">
        <f>726000</f>
        <v>726000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</f>
        <v>4039000</v>
      </c>
      <c r="I64" s="17">
        <f t="shared" si="10"/>
        <v>22.465098170087323</v>
      </c>
      <c r="J64" s="51">
        <f t="shared" si="11"/>
        <v>78.20244733581166</v>
      </c>
      <c r="L64" s="45">
        <f t="shared" si="12"/>
        <v>1125800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</f>
        <v>3773250</v>
      </c>
      <c r="I65" s="77">
        <f t="shared" si="10"/>
        <v>24.565191392349124</v>
      </c>
      <c r="J65" s="51">
        <f t="shared" si="11"/>
        <v>52.36956526500288</v>
      </c>
      <c r="L65" s="45">
        <f t="shared" si="12"/>
        <v>3431793.58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</f>
        <v>671039</v>
      </c>
      <c r="W65" s="75"/>
      <c r="X65" s="75">
        <f>318995.42+7836110</f>
        <v>8155105.42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100</v>
      </c>
      <c r="L66" s="45">
        <f t="shared" si="12"/>
        <v>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8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122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81" t="e">
        <f t="shared" si="11"/>
        <v>#DIV/0!</v>
      </c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115891.03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70">
        <f>115000</f>
        <v>115000</v>
      </c>
      <c r="W74" s="70"/>
      <c r="X74" s="70"/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286000+50433.63+4759.51-139782.21</f>
        <v>201410.93000000002</v>
      </c>
      <c r="I75" s="17">
        <f t="shared" si="10"/>
        <v>19.31404678216243</v>
      </c>
      <c r="J75" s="51">
        <f t="shared" si="11"/>
        <v>19.31404678216243</v>
      </c>
      <c r="L75" s="45">
        <f t="shared" si="12"/>
        <v>841410.0399999999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</f>
        <v>400000</v>
      </c>
      <c r="W75" s="70"/>
      <c r="X75" s="70"/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5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</f>
        <v>190086.61</v>
      </c>
      <c r="I77" s="17">
        <f t="shared" si="10"/>
        <v>93.65333959506586</v>
      </c>
      <c r="J77" s="51">
        <f t="shared" si="11"/>
        <v>99.99999999999999</v>
      </c>
      <c r="L77" s="45">
        <f t="shared" si="12"/>
        <v>0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/>
      <c r="W77" s="70"/>
      <c r="X77" s="70">
        <f>12881.71</f>
        <v>12881.71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</f>
        <v>137489.66</v>
      </c>
      <c r="I78" s="17">
        <f t="shared" si="10"/>
        <v>94.3538849719741</v>
      </c>
      <c r="J78" s="51">
        <f t="shared" si="11"/>
        <v>100</v>
      </c>
      <c r="L78" s="45">
        <f t="shared" si="12"/>
        <v>0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/>
      <c r="W78" s="70"/>
      <c r="X78" s="70">
        <f>8227.35</f>
        <v>8227.35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123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>
        <f t="shared" si="11"/>
        <v>0</v>
      </c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61000+900000+12600</f>
        <v>973600</v>
      </c>
      <c r="I80" s="77">
        <f t="shared" si="10"/>
        <v>64.90666666666667</v>
      </c>
      <c r="J80" s="51">
        <f t="shared" si="11"/>
        <v>78.43727237350083</v>
      </c>
      <c r="L80" s="45">
        <f t="shared" si="12"/>
        <v>267646.6299999999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</f>
        <v>280000</v>
      </c>
      <c r="W80" s="70">
        <v>21753.37</v>
      </c>
      <c r="X80" s="70">
        <f>237000</f>
        <v>237000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</f>
        <v>215000</v>
      </c>
      <c r="I82" s="17">
        <f t="shared" si="10"/>
        <v>35.833333333333336</v>
      </c>
      <c r="J82" s="51">
        <f t="shared" si="11"/>
        <v>90.71729957805907</v>
      </c>
      <c r="L82" s="45">
        <f t="shared" si="12"/>
        <v>22000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/>
      <c r="W82" s="76"/>
      <c r="X82" s="76">
        <f>600000-237000</f>
        <v>363000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</f>
        <v>1048000</v>
      </c>
      <c r="I84" s="77">
        <f t="shared" si="10"/>
        <v>65.5</v>
      </c>
      <c r="J84" s="51">
        <f t="shared" si="11"/>
        <v>65.5</v>
      </c>
      <c r="L84" s="45">
        <f t="shared" si="12"/>
        <v>552000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/>
      <c r="X84" s="70"/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 t="shared" si="12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86" t="s">
        <v>89</v>
      </c>
      <c r="B86" s="87"/>
      <c r="C86" s="87"/>
      <c r="D86" s="87"/>
      <c r="E86" s="87"/>
      <c r="F86" s="87"/>
      <c r="G86" s="88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67866748.28999999</v>
      </c>
      <c r="I87" s="8">
        <f t="shared" si="10"/>
        <v>46.6520282438455</v>
      </c>
      <c r="J87" s="8">
        <f>(H87/(M87+N87+O87+P87+Q87+R87+S87+T87+U87+V87))*100</f>
        <v>71.64187902014356</v>
      </c>
      <c r="L87" s="50">
        <f>(M87+N87+O87+P87+Q87+R87+S87+T87+U87+V87)-H87</f>
        <v>26863804.87000002</v>
      </c>
      <c r="M87" s="68">
        <f>SUM(M88:M123)</f>
        <v>0</v>
      </c>
      <c r="N87" s="68">
        <f aca="true" t="shared" si="14" ref="N87:X87">SUM(N88:N123)</f>
        <v>0</v>
      </c>
      <c r="O87" s="50">
        <f t="shared" si="14"/>
        <v>8050000</v>
      </c>
      <c r="P87" s="50">
        <f t="shared" si="14"/>
        <v>21834756.8</v>
      </c>
      <c r="Q87" s="50">
        <f t="shared" si="14"/>
        <v>8822800</v>
      </c>
      <c r="R87" s="50">
        <f t="shared" si="14"/>
        <v>11378056.360000001</v>
      </c>
      <c r="S87" s="50">
        <f t="shared" si="14"/>
        <v>12589502.09</v>
      </c>
      <c r="T87" s="50">
        <f t="shared" si="14"/>
        <v>14820167.76</v>
      </c>
      <c r="U87" s="50">
        <f t="shared" si="14"/>
        <v>6801270.15</v>
      </c>
      <c r="V87" s="50">
        <f t="shared" si="14"/>
        <v>10434000</v>
      </c>
      <c r="W87" s="50">
        <f t="shared" si="14"/>
        <v>15731760.6</v>
      </c>
      <c r="X87" s="50">
        <f t="shared" si="14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5" ref="D88:D123">E88+F88</f>
        <v>800000</v>
      </c>
      <c r="E88" s="21"/>
      <c r="F88" s="56">
        <f aca="true" t="shared" si="16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(H88/(M88+N88+O88+P88+Q88+R88+S88+T88+U88+V88))*100</f>
        <v>64.40100625</v>
      </c>
      <c r="L88" s="45">
        <f>(M88+N88+O88+P88+Q88+R88+S88+T88+U88+V88)-H88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5"/>
        <v>5863886</v>
      </c>
      <c r="E89" s="21"/>
      <c r="F89" s="56">
        <f t="shared" si="16"/>
        <v>5863886</v>
      </c>
      <c r="G89" s="56">
        <f>3000000+2863886</f>
        <v>5863886</v>
      </c>
      <c r="H89" s="57">
        <f>87741.39+1410000+801919.2</f>
        <v>2299660.59</v>
      </c>
      <c r="I89" s="17">
        <f t="shared" si="10"/>
        <v>39.21734818855619</v>
      </c>
      <c r="J89" s="51">
        <f aca="true" t="shared" si="17" ref="J89:J123">(H89/(M89+N89+O89+P89+Q89+R89+S89+T89+U89+V89))*100</f>
        <v>95.81919124999999</v>
      </c>
      <c r="L89" s="45">
        <f aca="true" t="shared" si="18" ref="L89:L123">(M89+N89+O89+P89+Q89+R89+S89+T89+U89+V89)-H89</f>
        <v>100339.41000000015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125</v>
      </c>
      <c r="D90" s="17">
        <f t="shared" si="15"/>
        <v>300000</v>
      </c>
      <c r="E90" s="21"/>
      <c r="F90" s="56">
        <f t="shared" si="16"/>
        <v>300000</v>
      </c>
      <c r="G90" s="56">
        <f>300000</f>
        <v>300000</v>
      </c>
      <c r="H90" s="57"/>
      <c r="I90" s="17"/>
      <c r="J90" s="81" t="e">
        <f t="shared" si="17"/>
        <v>#DIV/0!</v>
      </c>
      <c r="L90" s="45">
        <f t="shared" si="18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126</v>
      </c>
      <c r="D91" s="17">
        <f t="shared" si="15"/>
        <v>376676.89</v>
      </c>
      <c r="E91" s="21"/>
      <c r="F91" s="56">
        <f t="shared" si="16"/>
        <v>376676.89</v>
      </c>
      <c r="G91" s="56">
        <f>376676.89</f>
        <v>376676.89</v>
      </c>
      <c r="H91" s="57"/>
      <c r="I91" s="17"/>
      <c r="J91" s="81" t="e">
        <f t="shared" si="17"/>
        <v>#DIV/0!</v>
      </c>
      <c r="L91" s="45">
        <f t="shared" si="18"/>
        <v>0</v>
      </c>
      <c r="M91" s="66"/>
      <c r="N91" s="66"/>
      <c r="O91" s="66"/>
      <c r="P91" s="66"/>
      <c r="Q91" s="66"/>
      <c r="R91" s="66"/>
      <c r="S91" s="66"/>
      <c r="T91" s="66"/>
      <c r="U91" s="76"/>
      <c r="V91" s="76"/>
      <c r="W91" s="76"/>
      <c r="X91" s="76">
        <v>376676.89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5"/>
        <v>26805000</v>
      </c>
      <c r="E92" s="21"/>
      <c r="F92" s="56">
        <f t="shared" si="16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0"/>
        <v>99.92912922962132</v>
      </c>
      <c r="J92" s="51">
        <f t="shared" si="17"/>
        <v>99.92912922962132</v>
      </c>
      <c r="L92" s="45">
        <f t="shared" si="18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5"/>
        <v>1330000</v>
      </c>
      <c r="E93" s="21"/>
      <c r="F93" s="56">
        <f t="shared" si="16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7"/>
        <v>2.0733082706766917</v>
      </c>
      <c r="L93" s="45">
        <f t="shared" si="18"/>
        <v>1302425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/>
      <c r="W93" s="66"/>
      <c r="X93" s="66"/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5"/>
        <v>15600000</v>
      </c>
      <c r="E94" s="21"/>
      <c r="F94" s="56">
        <f t="shared" si="16"/>
        <v>15600000</v>
      </c>
      <c r="G94" s="56">
        <f>600000+15000000</f>
        <v>15600000</v>
      </c>
      <c r="H94" s="57">
        <f>577692+778157+1108224</f>
        <v>2464073</v>
      </c>
      <c r="I94" s="17">
        <f aca="true" t="shared" si="20" ref="I94:I107">H94/D94*100</f>
        <v>15.795339743589743</v>
      </c>
      <c r="J94" s="51">
        <f t="shared" si="17"/>
        <v>26.255439531166758</v>
      </c>
      <c r="L94" s="45">
        <f t="shared" si="18"/>
        <v>6920927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127</v>
      </c>
      <c r="D95" s="17">
        <f t="shared" si="15"/>
        <v>1500000</v>
      </c>
      <c r="E95" s="21"/>
      <c r="F95" s="56">
        <f t="shared" si="16"/>
        <v>1500000</v>
      </c>
      <c r="G95" s="57">
        <f>500000+1000000</f>
        <v>1500000</v>
      </c>
      <c r="H95" s="57">
        <f>9752</f>
        <v>9752</v>
      </c>
      <c r="I95" s="17">
        <f t="shared" si="20"/>
        <v>0.6501333333333333</v>
      </c>
      <c r="J95" s="51">
        <f t="shared" si="17"/>
        <v>97.52</v>
      </c>
      <c r="L95" s="45">
        <f t="shared" si="18"/>
        <v>248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/>
      <c r="W95" s="66"/>
      <c r="X95" s="66">
        <f>1500000-10000</f>
        <v>1490000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5"/>
        <v>300000</v>
      </c>
      <c r="E96" s="21"/>
      <c r="F96" s="56">
        <f t="shared" si="16"/>
        <v>300000</v>
      </c>
      <c r="G96" s="57">
        <v>300000</v>
      </c>
      <c r="H96" s="57">
        <f>5291+11445</f>
        <v>16736</v>
      </c>
      <c r="I96" s="17">
        <f t="shared" si="20"/>
        <v>5.578666666666667</v>
      </c>
      <c r="J96" s="51">
        <f t="shared" si="17"/>
        <v>5.578666666666667</v>
      </c>
      <c r="L96" s="45">
        <f t="shared" si="18"/>
        <v>283264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128</v>
      </c>
      <c r="D97" s="17">
        <f t="shared" si="15"/>
        <v>600000</v>
      </c>
      <c r="E97" s="21"/>
      <c r="F97" s="56">
        <f t="shared" si="16"/>
        <v>600000</v>
      </c>
      <c r="G97" s="57">
        <f>600000</f>
        <v>600000</v>
      </c>
      <c r="H97" s="57"/>
      <c r="I97" s="17"/>
      <c r="J97" s="81" t="e">
        <f t="shared" si="17"/>
        <v>#DIV/0!</v>
      </c>
      <c r="L97" s="45">
        <f t="shared" si="18"/>
        <v>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129</v>
      </c>
      <c r="D98" s="17">
        <f t="shared" si="15"/>
        <v>350000</v>
      </c>
      <c r="E98" s="21"/>
      <c r="F98" s="56">
        <f t="shared" si="16"/>
        <v>350000</v>
      </c>
      <c r="G98" s="57">
        <f>350000</f>
        <v>350000</v>
      </c>
      <c r="H98" s="57"/>
      <c r="I98" s="17"/>
      <c r="J98" s="81" t="e">
        <f t="shared" si="17"/>
        <v>#DIV/0!</v>
      </c>
      <c r="L98" s="45">
        <f t="shared" si="18"/>
        <v>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5"/>
        <v>3556000</v>
      </c>
      <c r="E99" s="21"/>
      <c r="F99" s="56">
        <f t="shared" si="16"/>
        <v>3556000</v>
      </c>
      <c r="G99" s="56">
        <v>3556000</v>
      </c>
      <c r="H99" s="57">
        <f>408764+2547908.4+34315.41+1837.35-190298.72</f>
        <v>2802526.44</v>
      </c>
      <c r="I99" s="17">
        <f t="shared" si="20"/>
        <v>78.81120472440945</v>
      </c>
      <c r="J99" s="51">
        <f t="shared" si="17"/>
        <v>91.70570811518324</v>
      </c>
      <c r="L99" s="45">
        <f t="shared" si="18"/>
        <v>253473.56000000006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5"/>
        <v>5963000</v>
      </c>
      <c r="E100" s="21"/>
      <c r="F100" s="56">
        <f t="shared" si="16"/>
        <v>5963000</v>
      </c>
      <c r="G100" s="56">
        <v>5963000</v>
      </c>
      <c r="H100" s="57"/>
      <c r="I100" s="39">
        <f t="shared" si="20"/>
        <v>0</v>
      </c>
      <c r="J100" s="51">
        <f t="shared" si="17"/>
        <v>0</v>
      </c>
      <c r="L100" s="45">
        <f t="shared" si="18"/>
        <v>1600000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5"/>
        <v>36591901</v>
      </c>
      <c r="E101" s="21"/>
      <c r="F101" s="56">
        <f t="shared" si="16"/>
        <v>36591901</v>
      </c>
      <c r="G101" s="56">
        <f>42821003-3000000-11200000+8422898-650000+198000</f>
        <v>36591901</v>
      </c>
      <c r="H101" s="57">
        <f>7000000+3000000+112682.22-2000000+4000000+1252856.79+2704881.39</f>
        <v>16070420.400000002</v>
      </c>
      <c r="I101" s="17">
        <f t="shared" si="20"/>
        <v>43.9179708099888</v>
      </c>
      <c r="J101" s="51">
        <f t="shared" si="17"/>
        <v>79.71438690476191</v>
      </c>
      <c r="L101" s="45">
        <f t="shared" si="18"/>
        <v>4089579.5999999978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130</v>
      </c>
      <c r="D102" s="17">
        <f t="shared" si="15"/>
        <v>430000</v>
      </c>
      <c r="E102" s="21"/>
      <c r="F102" s="56">
        <f t="shared" si="16"/>
        <v>430000</v>
      </c>
      <c r="G102" s="56">
        <f>430000</f>
        <v>430000</v>
      </c>
      <c r="H102" s="57"/>
      <c r="I102" s="17"/>
      <c r="J102" s="81" t="e">
        <f t="shared" si="17"/>
        <v>#DIV/0!</v>
      </c>
      <c r="L102" s="45">
        <f t="shared" si="18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5"/>
        <v>5300000</v>
      </c>
      <c r="E103" s="21"/>
      <c r="F103" s="56">
        <f t="shared" si="16"/>
        <v>5300000</v>
      </c>
      <c r="G103" s="56">
        <f>500000+4800000</f>
        <v>5300000</v>
      </c>
      <c r="H103" s="57">
        <f>500000</f>
        <v>500000</v>
      </c>
      <c r="I103" s="17">
        <f>H103/D103*100</f>
        <v>9.433962264150944</v>
      </c>
      <c r="J103" s="51">
        <f t="shared" si="17"/>
        <v>100</v>
      </c>
      <c r="L103" s="45">
        <f t="shared" si="18"/>
        <v>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v>100000</v>
      </c>
      <c r="W103" s="75"/>
      <c r="X103" s="75">
        <v>4800000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5"/>
        <v>150000</v>
      </c>
      <c r="E104" s="21"/>
      <c r="F104" s="56">
        <f t="shared" si="16"/>
        <v>150000</v>
      </c>
      <c r="G104" s="56">
        <v>150000</v>
      </c>
      <c r="H104" s="57"/>
      <c r="I104" s="39">
        <f t="shared" si="20"/>
        <v>0</v>
      </c>
      <c r="J104" s="51">
        <f t="shared" si="17"/>
        <v>0</v>
      </c>
      <c r="L104" s="45">
        <f t="shared" si="18"/>
        <v>144050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5"/>
        <v>0</v>
      </c>
      <c r="E105" s="21"/>
      <c r="F105" s="56">
        <f t="shared" si="16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7"/>
        <v>#DIV/0!</v>
      </c>
      <c r="L105" s="45">
        <f t="shared" si="18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5"/>
        <v>560000</v>
      </c>
      <c r="E106" s="21"/>
      <c r="F106" s="56">
        <f t="shared" si="16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7"/>
        <v>49.32814285714285</v>
      </c>
      <c r="L106" s="45">
        <f t="shared" si="18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5"/>
        <v>680000</v>
      </c>
      <c r="E107" s="21"/>
      <c r="F107" s="56">
        <f t="shared" si="16"/>
        <v>680000</v>
      </c>
      <c r="G107" s="57">
        <v>680000</v>
      </c>
      <c r="H107" s="57"/>
      <c r="I107" s="39">
        <f t="shared" si="20"/>
        <v>0</v>
      </c>
      <c r="J107" s="51">
        <f t="shared" si="17"/>
        <v>0</v>
      </c>
      <c r="L107" s="45">
        <f t="shared" si="18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131</v>
      </c>
      <c r="D108" s="17">
        <f t="shared" si="15"/>
        <v>800000</v>
      </c>
      <c r="E108" s="21"/>
      <c r="F108" s="56">
        <f t="shared" si="16"/>
        <v>800000</v>
      </c>
      <c r="G108" s="57">
        <f>800000</f>
        <v>800000</v>
      </c>
      <c r="H108" s="57"/>
      <c r="I108" s="39"/>
      <c r="J108" s="51">
        <f t="shared" si="17"/>
        <v>0</v>
      </c>
      <c r="L108" s="45">
        <f t="shared" si="18"/>
        <v>591000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132</v>
      </c>
      <c r="D109" s="17">
        <f t="shared" si="15"/>
        <v>400000</v>
      </c>
      <c r="E109" s="21"/>
      <c r="F109" s="56">
        <f t="shared" si="16"/>
        <v>400000</v>
      </c>
      <c r="G109" s="57">
        <f>400000</f>
        <v>400000</v>
      </c>
      <c r="H109" s="57"/>
      <c r="I109" s="39"/>
      <c r="J109" s="81" t="e">
        <f t="shared" si="17"/>
        <v>#DIV/0!</v>
      </c>
      <c r="L109" s="45">
        <f t="shared" si="18"/>
        <v>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133</v>
      </c>
      <c r="D110" s="17">
        <f t="shared" si="15"/>
        <v>750000</v>
      </c>
      <c r="E110" s="21"/>
      <c r="F110" s="56">
        <f t="shared" si="16"/>
        <v>750000</v>
      </c>
      <c r="G110" s="57">
        <f>750000</f>
        <v>750000</v>
      </c>
      <c r="H110" s="57"/>
      <c r="I110" s="39"/>
      <c r="J110" s="81" t="e">
        <f t="shared" si="17"/>
        <v>#DIV/0!</v>
      </c>
      <c r="L110" s="45">
        <f t="shared" si="18"/>
        <v>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5"/>
        <v>8000000</v>
      </c>
      <c r="E111" s="21"/>
      <c r="F111" s="56">
        <f t="shared" si="16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7"/>
        <v>62.544774999999994</v>
      </c>
      <c r="L111" s="45">
        <f t="shared" si="18"/>
        <v>2996418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</f>
        <v>1486000</v>
      </c>
      <c r="W111" s="66"/>
      <c r="X111" s="66"/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134</v>
      </c>
      <c r="D112" s="17">
        <f t="shared" si="15"/>
        <v>350000</v>
      </c>
      <c r="E112" s="21"/>
      <c r="F112" s="56">
        <f t="shared" si="16"/>
        <v>350000</v>
      </c>
      <c r="G112" s="56">
        <f>350000</f>
        <v>350000</v>
      </c>
      <c r="H112" s="57"/>
      <c r="I112" s="17"/>
      <c r="J112" s="81" t="e">
        <f t="shared" si="17"/>
        <v>#DIV/0!</v>
      </c>
      <c r="L112" s="45">
        <f t="shared" si="18"/>
        <v>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135</v>
      </c>
      <c r="D113" s="17">
        <f t="shared" si="15"/>
        <v>500000</v>
      </c>
      <c r="E113" s="21"/>
      <c r="F113" s="56">
        <f t="shared" si="16"/>
        <v>500000</v>
      </c>
      <c r="G113" s="56">
        <f>500000</f>
        <v>500000</v>
      </c>
      <c r="H113" s="57"/>
      <c r="I113" s="17"/>
      <c r="J113" s="51">
        <f t="shared" si="17"/>
        <v>0</v>
      </c>
      <c r="L113" s="45">
        <f t="shared" si="18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5"/>
        <v>1376503.16</v>
      </c>
      <c r="E114" s="21"/>
      <c r="F114" s="56">
        <f t="shared" si="16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7"/>
        <v>46.75957300381352</v>
      </c>
      <c r="L114" s="45">
        <f t="shared" si="18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5"/>
        <v>0</v>
      </c>
      <c r="E115" s="21"/>
      <c r="F115" s="56">
        <f t="shared" si="16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7"/>
        <v>#DIV/0!</v>
      </c>
      <c r="L115" s="45">
        <f t="shared" si="18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5"/>
        <v>0</v>
      </c>
      <c r="E116" s="21"/>
      <c r="F116" s="56">
        <f t="shared" si="16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7"/>
        <v>#DIV/0!</v>
      </c>
      <c r="L116" s="45">
        <f t="shared" si="18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5"/>
        <v>0</v>
      </c>
      <c r="E117" s="21"/>
      <c r="F117" s="56">
        <f t="shared" si="16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7"/>
        <v>#DIV/0!</v>
      </c>
      <c r="L117" s="45">
        <f t="shared" si="18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5"/>
        <v>2450000</v>
      </c>
      <c r="E118" s="21"/>
      <c r="F118" s="56">
        <f t="shared" si="16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7"/>
        <v>30.65184615384615</v>
      </c>
      <c r="L118" s="45">
        <f t="shared" si="18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5"/>
        <v>9834000</v>
      </c>
      <c r="E119" s="21"/>
      <c r="F119" s="56">
        <f t="shared" si="16"/>
        <v>9834000</v>
      </c>
      <c r="G119" s="56">
        <v>9834000</v>
      </c>
      <c r="H119" s="57">
        <f>33264+9234+1620974.51+23480.87+1785858+310973.57+32406.76+430403.87+5514.81</f>
        <v>4252110.389999999</v>
      </c>
      <c r="I119" s="17">
        <f t="shared" si="21"/>
        <v>43.238869127516764</v>
      </c>
      <c r="J119" s="51">
        <f t="shared" si="17"/>
        <v>60.450815894228015</v>
      </c>
      <c r="L119" s="45">
        <f t="shared" si="18"/>
        <v>2781889.6100000013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5"/>
        <v>315692.7599999998</v>
      </c>
      <c r="E120" s="21"/>
      <c r="F120" s="56">
        <f t="shared" si="16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7"/>
        <v>5.063430420711974</v>
      </c>
      <c r="L120" s="45">
        <f t="shared" si="18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5"/>
        <v>3033744</v>
      </c>
      <c r="E121" s="21"/>
      <c r="F121" s="56">
        <f t="shared" si="16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7"/>
        <v>39.16192357142857</v>
      </c>
      <c r="L121" s="45">
        <f t="shared" si="18"/>
        <v>851733.0700000001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</f>
        <v>633744</v>
      </c>
      <c r="X121" s="75">
        <v>1000000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5"/>
        <v>10100000</v>
      </c>
      <c r="E122" s="21"/>
      <c r="F122" s="56">
        <f t="shared" si="16"/>
        <v>10100000</v>
      </c>
      <c r="G122" s="64">
        <f>100000+10000000</f>
        <v>10100000</v>
      </c>
      <c r="H122" s="57">
        <f>72592.8+4965000</f>
        <v>5037592.8</v>
      </c>
      <c r="I122" s="17">
        <f t="shared" si="21"/>
        <v>49.87715643564356</v>
      </c>
      <c r="J122" s="51">
        <f t="shared" si="17"/>
        <v>93.28875555555555</v>
      </c>
      <c r="L122" s="45">
        <f t="shared" si="18"/>
        <v>362407.2000000002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</f>
        <v>4300000</v>
      </c>
      <c r="X122" s="75">
        <v>400000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5"/>
        <v>507975</v>
      </c>
      <c r="E123" s="21"/>
      <c r="F123" s="56">
        <f t="shared" si="16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7"/>
        <v>0</v>
      </c>
      <c r="L123" s="45">
        <f t="shared" si="18"/>
        <v>440000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151829444.2</v>
      </c>
      <c r="I124" s="8">
        <f t="shared" si="21"/>
        <v>44.88314598491301</v>
      </c>
      <c r="J124" s="84">
        <f>(H124/(M124+N124+O124+P124+Q124+R124+S124+T124+U124+V124))*100</f>
        <v>79.16095049896522</v>
      </c>
      <c r="L124" s="50">
        <f>(M124+N124+O124+P124+Q124+R124+S124+T124+U124+V124)-H124</f>
        <v>39968965.55000001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18047326.39</v>
      </c>
      <c r="W124" s="50">
        <f t="shared" si="22"/>
        <v>24017592.439999998</v>
      </c>
      <c r="X124" s="50">
        <f t="shared" si="22"/>
        <v>122461185.97999999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2018-10-25T13:08:00Z</dcterms:modified>
  <cp:category/>
  <cp:version/>
  <cp:contentType/>
  <cp:contentStatus/>
</cp:coreProperties>
</file>